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<sst xmlns="http://schemas.openxmlformats.org/spreadsheetml/2006/main" count="193" uniqueCount="191">
  <si>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</si>
  <si>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</si>
  <si>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</si>
  <si>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</si>
  <si>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</si>
  <si>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</si>
  <si>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</si>
  <si>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</si>
  <si>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</si>
  <si>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</si>
  <si>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</si>
  <si>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</si>
  <si>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</si>
  <si>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</si>
  <si>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</si>
  <si>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</si>
  <si>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</si>
  <si>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</si>
  <si>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</si>
  <si>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</si>
  <si>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</si>
  <si>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</si>
  <si>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</si>
  <si>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</si>
  <si>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</si>
  <si>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</si>
  <si>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</si>
  <si>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</si>
  <si>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</si>
  <si>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</si>
  <si>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</si>
  <si>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</si>
  <si>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</si>
  <si>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</si>
  <si>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</si>
  <si>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</si>
  <si>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</si>
  <si>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</si>
  <si>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</si>
  <si>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</si>
  <si>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</si>
  <si>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</si>
  <si>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</si>
  <si>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</si>
  <si>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</si>
  <si>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</si>
  <si>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</si>
  <si>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</si>
  <si>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</si>
  <si>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</si>
  <si>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</si>
  <si>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</si>
  <si>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</si>
  <si>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</si>
  <si>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</si>
  <si>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</si>
  <si>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</si>
  <si>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</si>
  <si>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</si>
  <si>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</si>
  <si>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</si>
  <si>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</si>
  <si>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</si>
  <si>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</si>
  <si>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</si>
  <si>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</si>
  <si>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</si>
  <si>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</si>
  <si>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</si>
  <si>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</si>
  <si>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</si>
  <si>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</si>
  <si>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</si>
  <si>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</si>
  <si>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</si>
  <si>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</si>
  <si>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</si>
  <si>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</si>
  <si>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</si>
  <si>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</si>
  <si>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</si>
  <si>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</si>
  <si>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</si>
  <si>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</si>
  <si>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</si>
  <si>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</si>
  <si>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</si>
  <si>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</si>
  <si>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</si>
  <si>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</si>
  <si>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</si>
  <si>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</si>
  <si>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</si>
  <si>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</si>
  <si>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</si>
  <si>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</si>
  <si>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</si>
  <si>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</si>
  <si>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</si>
  <si>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</si>
  <si>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</si>
  <si>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</si>
  <si>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</si>
  <si>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</si>
  <si>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</si>
  <si>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</si>
  <si>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</si>
  <si>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</si>
  <si>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</si>
  <si>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</si>
  <si>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</si>
  <si>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</si>
  <si>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</si>
  <si>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</si>
  <si>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</si>
  <si>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</si>
  <si>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</si>
  <si>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</si>
  <si>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</si>
  <si>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</si>
  <si>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</si>
  <si>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</si>
  <si>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</si>
  <si>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</si>
  <si>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</si>
  <si>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</si>
  <si>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</si>
  <si>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</si>
  <si>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</si>
  <si>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</si>
  <si>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</si>
  <si>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</si>
  <si>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</si>
  <si>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</si>
  <si>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</si>
  <si>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</si>
  <si>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</si>
  <si>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</si>
  <si>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</si>
  <si>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</si>
  <si>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</si>
  <si>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</si>
  <si>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</si>
  <si>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</si>
  <si>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</si>
  <si>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</si>
  <si>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</si>
  <si>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</si>
  <si>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</si>
  <si>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</si>
  <si>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</si>
  <si>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</si>
  <si>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</si>
  <si>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</si>
  <si>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</si>
  <si>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</si>
  <si>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</si>
  <si>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</si>
  <si>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</si>
  <si>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</si>
  <si>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</si>
  <si>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</si>
  <si>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</si>
  <si>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</si>
  <si>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</si>
  <si>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</si>
  <si>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</si>
  <si>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</si>
  <si>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</si>
  <si>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</si>
  <si>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</si>
  <si>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РАЗОМ ВИДАТКІВ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</si>
  <si>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</si>
  <si>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</si>
  <si>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</si>
  <si>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</si>
  <si>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</si>
  <si>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</si>
  <si>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</si>
  <si>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</si>
  <si>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</si>
  <si>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</si>
  <si>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</si>
  <si>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ВИКОРИСТАННЯ КОШТІВ НА  ЖИТЛОВО-КОМУНАЛЬНЕ ГОСПОДАРСТВО ЗА РАХУНОК КОШТІВ МІСЬКОГО БЮДЖЕТУ У 2019 РОЦІ</t>
  </si>
  <si>
    <t>1.2</t>
  </si>
  <si>
    <t>Співфінансування  капітального ремонту та реконструкції  багатоквартирних житлових будинків  та їх прибудинкових територій (крім ОСББ та ЖБК)</t>
  </si>
  <si>
    <t>Капітальний ремонт  ганків до під'їздів №1-8 житлового будинку  по вул.Гуджіївській ,30</t>
  </si>
  <si>
    <t>Фінансова підтримка КП "Придніпровська СУБ " на погашення кредиторської заборгованості, в  тому числі:</t>
  </si>
  <si>
    <t>погашення кредиторської заборгованості КП "СУБ "Митниця" (правонаступником якої є КП "Придніпровська СУБ")</t>
  </si>
  <si>
    <t>погашення заборгованості по заробітній платі КП "Придніпровська СУБ"</t>
  </si>
  <si>
    <t>Профінансовано станом на 30.11.2019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</si>
</sst>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9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7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7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6" fillId="53" borderId="17" xfId="0" applyFont="1" applyFill="1" applyBorder="1" applyAlignment="1">
      <alignment horizontal="left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0" fontId="37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6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7" fillId="0" borderId="18" xfId="0" applyNumberFormat="1" applyFont="1" applyFill="1" applyBorder="1" applyAlignment="1">
      <alignment horizontal="center" vertical="center" wrapText="1" readingOrder="1"/>
    </xf>
    <xf numFmtId="4" fontId="37" fillId="0" borderId="21" xfId="0" applyNumberFormat="1" applyFont="1" applyFill="1" applyBorder="1" applyAlignment="1">
      <alignment horizontal="center" vertical="center" wrapText="1" readingOrder="1"/>
    </xf>
    <xf numFmtId="4" fontId="37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6" fillId="53" borderId="18" xfId="0" applyNumberFormat="1" applyFont="1" applyFill="1" applyBorder="1" applyAlignment="1">
      <alignment horizontal="center" vertical="center" wrapText="1" readingOrder="1"/>
    </xf>
    <xf numFmtId="4" fontId="37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6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7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37" fillId="52" borderId="18" xfId="0" applyNumberFormat="1" applyFont="1" applyFill="1" applyBorder="1" applyAlignment="1">
      <alignment horizontal="center" vertical="center" wrapText="1" readingOrder="1"/>
    </xf>
    <xf numFmtId="4" fontId="37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8" fillId="53" borderId="14" xfId="0" applyNumberFormat="1" applyFont="1" applyFill="1" applyBorder="1" applyAlignment="1">
      <alignment horizontal="center" vertical="center" wrapText="1" readingOrder="1"/>
    </xf>
    <xf numFmtId="49" fontId="36" fillId="53" borderId="15" xfId="0" applyNumberFormat="1" applyFont="1" applyFill="1" applyBorder="1" applyAlignment="1">
      <alignment horizontal="center" vertical="center"/>
    </xf>
    <xf numFmtId="208" fontId="36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6" fillId="53" borderId="22" xfId="0" applyNumberFormat="1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6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6" fillId="53" borderId="15" xfId="120" applyNumberFormat="1" applyFont="1" applyFill="1" applyBorder="1" applyAlignment="1">
      <alignment horizontal="center" vertical="center"/>
    </xf>
    <xf numFmtId="49" fontId="36" fillId="53" borderId="28" xfId="0" applyNumberFormat="1" applyFont="1" applyFill="1" applyBorder="1" applyAlignment="1">
      <alignment horizontal="center" vertical="center"/>
    </xf>
    <xf numFmtId="0" fontId="36" fillId="52" borderId="21" xfId="0" applyFont="1" applyFill="1" applyBorder="1" applyAlignment="1">
      <alignment horizontal="center" vertical="center" wrapText="1" readingOrder="1"/>
    </xf>
    <xf numFmtId="0" fontId="36" fillId="52" borderId="14" xfId="0" applyFont="1" applyFill="1" applyBorder="1" applyAlignment="1">
      <alignment horizontal="center" vertical="center" wrapText="1" readingOrder="1"/>
    </xf>
    <xf numFmtId="208" fontId="36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7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6" fillId="53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7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7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6" fillId="53" borderId="16" xfId="0" applyNumberFormat="1" applyFont="1" applyFill="1" applyBorder="1" applyAlignment="1">
      <alignment horizontal="center" vertical="center"/>
    </xf>
    <xf numFmtId="0" fontId="36" fillId="53" borderId="30" xfId="0" applyFont="1" applyFill="1" applyBorder="1" applyAlignment="1">
      <alignment horizontal="left" vertical="center" wrapText="1" readingOrder="1"/>
    </xf>
    <xf numFmtId="0" fontId="36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7" fillId="55" borderId="25" xfId="0" applyNumberFormat="1" applyFont="1" applyFill="1" applyBorder="1" applyAlignment="1">
      <alignment horizontal="center" vertical="center" wrapText="1" readingOrder="1"/>
    </xf>
    <xf numFmtId="4" fontId="37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4" fontId="29" fillId="52" borderId="32" xfId="0" applyNumberFormat="1" applyFont="1" applyFill="1" applyBorder="1" applyAlignment="1">
      <alignment horizontal="center" vertical="center" wrapText="1" readingOrder="1"/>
    </xf>
    <xf numFmtId="0" fontId="36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4" fontId="43" fillId="53" borderId="15" xfId="0" applyNumberFormat="1" applyFont="1" applyFill="1" applyBorder="1" applyAlignment="1">
      <alignment horizontal="center" vertical="center" wrapText="1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7" fillId="53" borderId="24" xfId="0" applyNumberFormat="1" applyFont="1" applyFill="1" applyBorder="1" applyAlignment="1">
      <alignment horizontal="center" vertical="center" wrapText="1" readingOrder="1"/>
    </xf>
    <xf numFmtId="0" fontId="37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36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3" xfId="112" applyFont="1" applyFill="1" applyBorder="1" applyAlignment="1">
      <alignment horizontal="left" vertical="center" wrapText="1"/>
      <protection/>
    </xf>
    <xf numFmtId="4" fontId="37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6" fillId="54" borderId="29" xfId="0" applyFont="1" applyFill="1" applyBorder="1" applyAlignment="1">
      <alignment horizontal="left" vertical="center" wrapText="1" readingOrder="1"/>
    </xf>
    <xf numFmtId="4" fontId="37" fillId="54" borderId="25" xfId="0" applyNumberFormat="1" applyFont="1" applyFill="1" applyBorder="1" applyAlignment="1">
      <alignment horizontal="center" vertical="center" wrapText="1" readingOrder="1"/>
    </xf>
    <xf numFmtId="0" fontId="36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4" borderId="31" xfId="0" applyNumberFormat="1" applyFont="1" applyFill="1" applyBorder="1" applyAlignment="1">
      <alignment horizontal="center" vertical="center" wrapText="1" readingOrder="1"/>
    </xf>
    <xf numFmtId="4" fontId="44" fillId="54" borderId="28" xfId="0" applyNumberFormat="1" applyFont="1" applyFill="1" applyBorder="1" applyAlignment="1">
      <alignment horizontal="center" vertical="center" wrapText="1" readingOrder="1"/>
    </xf>
    <xf numFmtId="208" fontId="0" fillId="0" borderId="34" xfId="0" applyNumberFormat="1" applyFill="1" applyBorder="1" applyAlignment="1">
      <alignment horizontal="center" vertical="center"/>
    </xf>
    <xf numFmtId="4" fontId="19" fillId="54" borderId="34" xfId="0" applyNumberFormat="1" applyFont="1" applyFill="1" applyBorder="1" applyAlignment="1">
      <alignment horizontal="center" vertical="center"/>
    </xf>
    <xf numFmtId="0" fontId="37" fillId="55" borderId="17" xfId="0" applyFont="1" applyFill="1" applyBorder="1" applyAlignment="1">
      <alignment horizontal="left" vertical="center" wrapText="1" readingOrder="1"/>
    </xf>
    <xf numFmtId="0" fontId="37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" fontId="0" fillId="55" borderId="15" xfId="94" applyNumberFormat="1" applyFont="1" applyFill="1" applyBorder="1" applyAlignment="1">
      <alignment horizontal="center" vertical="center"/>
      <protection/>
    </xf>
    <xf numFmtId="49" fontId="29" fillId="54" borderId="15" xfId="0" applyNumberFormat="1" applyFont="1" applyFill="1" applyBorder="1" applyAlignment="1">
      <alignment horizontal="center" vertical="center"/>
    </xf>
    <xf numFmtId="4" fontId="36" fillId="54" borderId="15" xfId="0" applyNumberFormat="1" applyFont="1" applyFill="1" applyBorder="1" applyAlignment="1">
      <alignment horizontal="center" vertical="center" wrapText="1"/>
    </xf>
    <xf numFmtId="4" fontId="29" fillId="52" borderId="25" xfId="0" applyNumberFormat="1" applyFont="1" applyFill="1" applyBorder="1" applyAlignment="1">
      <alignment horizontal="center" vertical="center" wrapText="1" readingOrder="1"/>
    </xf>
    <xf numFmtId="0" fontId="0" fillId="52" borderId="35" xfId="112" applyFont="1" applyFill="1" applyBorder="1" applyAlignment="1">
      <alignment horizontal="left" vertical="center" wrapText="1"/>
      <protection/>
    </xf>
    <xf numFmtId="186" fontId="0" fillId="55" borderId="28" xfId="0" applyNumberFormat="1" applyFont="1" applyFill="1" applyBorder="1" applyAlignment="1">
      <alignment horizontal="center" vertical="center"/>
    </xf>
    <xf numFmtId="186" fontId="0" fillId="55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2" fontId="34" fillId="0" borderId="15" xfId="0" applyNumberFormat="1" applyFont="1" applyFill="1" applyBorder="1" applyAlignment="1">
      <alignment horizontal="center"/>
    </xf>
    <xf numFmtId="49" fontId="41" fillId="0" borderId="36" xfId="0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6"/>
  <sheetViews>
    <sheetView tabSelected="1" zoomScale="117" zoomScaleNormal="117" zoomScalePageLayoutView="0" workbookViewId="0" topLeftCell="B1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85"/>
      <c r="AE1" s="185"/>
      <c r="AF1" s="185"/>
      <c r="AG1" s="185"/>
    </row>
    <row r="2" ht="17.25" hidden="1">
      <c r="B2" s="7"/>
    </row>
    <row r="3" spans="1:33" ht="33" customHeight="1">
      <c r="A3" s="186" t="s">
        <v>183</v>
      </c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</row>
    <row r="4" spans="2:32" ht="15.75" customHeight="1">
      <c r="B4" s="7"/>
      <c r="AF4" s="113" t="s">
        <v>166</v>
      </c>
    </row>
    <row r="5" spans="1:33" ht="18.75" customHeight="1">
      <c r="A5" s="188" t="s">
        <v>34</v>
      </c>
      <c r="B5" s="190" t="s">
        <v>35</v>
      </c>
      <c r="AB5" s="192" t="s">
        <v>165</v>
      </c>
      <c r="AC5" s="192" t="s">
        <v>78</v>
      </c>
      <c r="AD5" s="194" t="s">
        <v>50</v>
      </c>
      <c r="AE5" s="61" t="s">
        <v>52</v>
      </c>
      <c r="AF5" s="196" t="s">
        <v>190</v>
      </c>
      <c r="AG5" s="194" t="s">
        <v>164</v>
      </c>
    </row>
    <row r="6" spans="1:33" ht="22.5" customHeight="1" thickBot="1">
      <c r="A6" s="189"/>
      <c r="B6" s="19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3"/>
      <c r="AC6" s="193"/>
      <c r="AD6" s="195"/>
      <c r="AE6" s="60" t="s">
        <v>51</v>
      </c>
      <c r="AF6" s="197"/>
      <c r="AG6" s="195"/>
    </row>
    <row r="7" spans="1:29" ht="29.25" customHeight="1" hidden="1">
      <c r="A7" s="49" t="s">
        <v>41</v>
      </c>
      <c r="B7" s="50" t="s">
        <v>56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3" t="s">
        <v>27</v>
      </c>
      <c r="B8" s="124" t="s">
        <v>57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 t="e">
        <f>#REF!</f>
        <v>#REF!</v>
      </c>
      <c r="AC8" s="73"/>
    </row>
    <row r="9" spans="1:33" ht="21" customHeight="1" thickBot="1">
      <c r="A9" s="182" t="s">
        <v>167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4"/>
    </row>
    <row r="10" spans="1:33" ht="33" customHeight="1">
      <c r="A10" s="127" t="s">
        <v>41</v>
      </c>
      <c r="B10" s="128" t="s">
        <v>79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>
        <f aca="true" t="shared" si="0" ref="AB10:AB82">AC10+AD10</f>
        <v>31650868.86</v>
      </c>
      <c r="AC10" s="85"/>
      <c r="AD10" s="131">
        <f>SUM(AD11:AD48)</f>
        <v>31650868.86</v>
      </c>
      <c r="AE10" s="131">
        <f>SUM(AE11:AE48)</f>
        <v>31650868.86</v>
      </c>
      <c r="AF10" s="131">
        <f>SUM(AF11:AF48)</f>
        <v>3829766.650000001</v>
      </c>
      <c r="AG10" s="132">
        <f>AF10/AB10*100</f>
        <v>12.10003639059658</v>
      </c>
    </row>
    <row r="11" spans="1:33" ht="58.5" customHeight="1">
      <c r="A11" s="72" t="s">
        <v>27</v>
      </c>
      <c r="B11" s="103" t="s">
        <v>139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39">
        <f>AC11+AD11</f>
        <v>21800000</v>
      </c>
      <c r="AC11" s="102"/>
      <c r="AD11" s="173">
        <f>10000000+11800000</f>
        <v>21800000</v>
      </c>
      <c r="AE11" s="90">
        <f aca="true" t="shared" si="1" ref="AE11:AE17">AD11</f>
        <v>21800000</v>
      </c>
      <c r="AF11" s="121">
        <f>224258.97+124037.95+71012.9+68434.1+162188.61+251313.75+133996.68+232151.03+274657.52</f>
        <v>1542051.51</v>
      </c>
      <c r="AG11" s="115">
        <f>AF11/AB11*100</f>
        <v>7.073630779816514</v>
      </c>
    </row>
    <row r="12" spans="1:33" ht="54" customHeight="1">
      <c r="A12" s="72" t="s">
        <v>184</v>
      </c>
      <c r="B12" s="103" t="s">
        <v>185</v>
      </c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39">
        <f>AC12+AD12</f>
        <v>6000000</v>
      </c>
      <c r="AC12" s="102"/>
      <c r="AD12" s="173">
        <v>6000000</v>
      </c>
      <c r="AE12" s="90">
        <f>AD12</f>
        <v>6000000</v>
      </c>
      <c r="AF12" s="121"/>
      <c r="AG12" s="115">
        <f>AF12/AB12*100</f>
        <v>0</v>
      </c>
    </row>
    <row r="13" spans="1:33" ht="34.5" customHeight="1">
      <c r="A13" s="72" t="s">
        <v>61</v>
      </c>
      <c r="B13" s="103" t="s">
        <v>186</v>
      </c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39">
        <f>AC13+AD13</f>
        <v>208269</v>
      </c>
      <c r="AC13" s="102"/>
      <c r="AD13" s="173">
        <v>208269</v>
      </c>
      <c r="AE13" s="90">
        <f>AD13</f>
        <v>208269</v>
      </c>
      <c r="AF13" s="121">
        <v>208269</v>
      </c>
      <c r="AG13" s="115">
        <f>AF13/AB13*100</f>
        <v>100</v>
      </c>
    </row>
    <row r="14" spans="1:33" ht="39" customHeight="1">
      <c r="A14" s="72" t="s">
        <v>62</v>
      </c>
      <c r="B14" s="103" t="s">
        <v>134</v>
      </c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39">
        <f>AC14+AD14</f>
        <v>800000</v>
      </c>
      <c r="AC14" s="102"/>
      <c r="AD14" s="173">
        <v>800000</v>
      </c>
      <c r="AE14" s="90">
        <f t="shared" si="1"/>
        <v>800000</v>
      </c>
      <c r="AF14" s="154"/>
      <c r="AG14" s="115">
        <f aca="true" t="shared" si="2" ref="AG14:AG75">AF14/AB14*100</f>
        <v>0</v>
      </c>
    </row>
    <row r="15" spans="1:33" ht="33" customHeight="1">
      <c r="A15" s="72" t="s">
        <v>63</v>
      </c>
      <c r="B15" s="103" t="s">
        <v>138</v>
      </c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39">
        <f>AC15+AD15</f>
        <v>299580.28</v>
      </c>
      <c r="AC15" s="102"/>
      <c r="AD15" s="173">
        <v>299580.28</v>
      </c>
      <c r="AE15" s="90">
        <f t="shared" si="1"/>
        <v>299580.28</v>
      </c>
      <c r="AF15" s="90">
        <v>299580.28</v>
      </c>
      <c r="AG15" s="115">
        <f t="shared" si="2"/>
        <v>100</v>
      </c>
    </row>
    <row r="16" spans="1:33" ht="26.25" customHeight="1">
      <c r="A16" s="72" t="s">
        <v>64</v>
      </c>
      <c r="B16" s="103" t="s">
        <v>104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39">
        <f t="shared" si="0"/>
        <v>162750</v>
      </c>
      <c r="AC16" s="66"/>
      <c r="AD16" s="173">
        <v>162750</v>
      </c>
      <c r="AE16" s="90">
        <f t="shared" si="1"/>
        <v>162750</v>
      </c>
      <c r="AF16" s="121">
        <f>75281.37+4763</f>
        <v>80044.37</v>
      </c>
      <c r="AG16" s="115">
        <f t="shared" si="2"/>
        <v>49.18240860215054</v>
      </c>
    </row>
    <row r="17" spans="1:33" ht="26.25" customHeight="1">
      <c r="A17" s="72" t="s">
        <v>65</v>
      </c>
      <c r="B17" s="103" t="s">
        <v>172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39">
        <f t="shared" si="0"/>
        <v>351750</v>
      </c>
      <c r="AC17" s="66"/>
      <c r="AD17" s="173">
        <v>351750</v>
      </c>
      <c r="AE17" s="90">
        <f t="shared" si="1"/>
        <v>351750</v>
      </c>
      <c r="AF17" s="121">
        <v>350723</v>
      </c>
      <c r="AG17" s="115">
        <f t="shared" si="2"/>
        <v>99.70803127221038</v>
      </c>
    </row>
    <row r="18" spans="1:33" ht="27" customHeight="1">
      <c r="A18" s="72" t="s">
        <v>66</v>
      </c>
      <c r="B18" s="103" t="s">
        <v>105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39">
        <f t="shared" si="0"/>
        <v>4000</v>
      </c>
      <c r="AC18" s="66"/>
      <c r="AD18" s="173">
        <v>4000</v>
      </c>
      <c r="AE18" s="90">
        <f aca="true" t="shared" si="3" ref="AE18:AE48">AD18</f>
        <v>4000</v>
      </c>
      <c r="AF18" s="90">
        <v>813.5</v>
      </c>
      <c r="AG18" s="115">
        <f t="shared" si="2"/>
        <v>20.3375</v>
      </c>
    </row>
    <row r="19" spans="1:33" ht="24.75" customHeight="1">
      <c r="A19" s="72" t="s">
        <v>67</v>
      </c>
      <c r="B19" s="103" t="s">
        <v>140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39">
        <f t="shared" si="0"/>
        <v>136500</v>
      </c>
      <c r="AC19" s="66"/>
      <c r="AD19" s="173">
        <v>136500</v>
      </c>
      <c r="AE19" s="90">
        <f t="shared" si="3"/>
        <v>136500</v>
      </c>
      <c r="AF19" s="154"/>
      <c r="AG19" s="115">
        <f t="shared" si="2"/>
        <v>0</v>
      </c>
    </row>
    <row r="20" spans="1:33" ht="28.5" customHeight="1">
      <c r="A20" s="72" t="s">
        <v>68</v>
      </c>
      <c r="B20" s="103" t="s">
        <v>141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39">
        <f t="shared" si="0"/>
        <v>105000</v>
      </c>
      <c r="AC20" s="66"/>
      <c r="AD20" s="173">
        <v>105000</v>
      </c>
      <c r="AE20" s="90">
        <f t="shared" si="3"/>
        <v>105000</v>
      </c>
      <c r="AF20" s="121">
        <f>1303.58+82218+922.25</f>
        <v>84443.83</v>
      </c>
      <c r="AG20" s="115">
        <f t="shared" si="2"/>
        <v>80.42269523809524</v>
      </c>
    </row>
    <row r="21" spans="1:33" ht="24" customHeight="1">
      <c r="A21" s="72" t="s">
        <v>69</v>
      </c>
      <c r="B21" s="103" t="s">
        <v>142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39">
        <f t="shared" si="0"/>
        <v>3000</v>
      </c>
      <c r="AC21" s="66"/>
      <c r="AD21" s="173">
        <v>3000</v>
      </c>
      <c r="AE21" s="90">
        <f t="shared" si="3"/>
        <v>3000</v>
      </c>
      <c r="AF21" s="121">
        <v>2508.74</v>
      </c>
      <c r="AG21" s="115">
        <f t="shared" si="2"/>
        <v>83.62466666666666</v>
      </c>
    </row>
    <row r="22" spans="1:33" ht="27" customHeight="1">
      <c r="A22" s="72" t="s">
        <v>70</v>
      </c>
      <c r="B22" s="103" t="s">
        <v>143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39">
        <f t="shared" si="0"/>
        <v>3000</v>
      </c>
      <c r="AC22" s="66"/>
      <c r="AD22" s="173">
        <v>3000</v>
      </c>
      <c r="AE22" s="90">
        <f t="shared" si="3"/>
        <v>3000</v>
      </c>
      <c r="AF22" s="121">
        <v>1962.84</v>
      </c>
      <c r="AG22" s="115">
        <f t="shared" si="2"/>
        <v>65.428</v>
      </c>
    </row>
    <row r="23" spans="1:33" ht="25.5" customHeight="1">
      <c r="A23" s="72" t="s">
        <v>80</v>
      </c>
      <c r="B23" s="103" t="s">
        <v>144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39">
        <f t="shared" si="0"/>
        <v>1100</v>
      </c>
      <c r="AC23" s="66"/>
      <c r="AD23" s="173">
        <v>1100</v>
      </c>
      <c r="AE23" s="90">
        <f t="shared" si="3"/>
        <v>1100</v>
      </c>
      <c r="AF23" s="154"/>
      <c r="AG23" s="115">
        <f t="shared" si="2"/>
        <v>0</v>
      </c>
    </row>
    <row r="24" spans="1:33" ht="27" customHeight="1">
      <c r="A24" s="72" t="s">
        <v>81</v>
      </c>
      <c r="B24" s="103" t="s">
        <v>145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39">
        <f t="shared" si="0"/>
        <v>293150.76</v>
      </c>
      <c r="AC24" s="66"/>
      <c r="AD24" s="173">
        <v>293150.76</v>
      </c>
      <c r="AE24" s="90">
        <f t="shared" si="3"/>
        <v>293150.76</v>
      </c>
      <c r="AF24" s="90">
        <f>18326+6278+133727+131019.76+2700</f>
        <v>292050.76</v>
      </c>
      <c r="AG24" s="115">
        <f t="shared" si="2"/>
        <v>99.62476645122803</v>
      </c>
    </row>
    <row r="25" spans="1:33" ht="38.25" customHeight="1">
      <c r="A25" s="72" t="s">
        <v>82</v>
      </c>
      <c r="B25" s="103" t="s">
        <v>106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39">
        <f t="shared" si="0"/>
        <v>50000</v>
      </c>
      <c r="AC25" s="66"/>
      <c r="AD25" s="173">
        <v>50000</v>
      </c>
      <c r="AE25" s="90">
        <f t="shared" si="3"/>
        <v>50000</v>
      </c>
      <c r="AF25" s="154"/>
      <c r="AG25" s="115">
        <f t="shared" si="2"/>
        <v>0</v>
      </c>
    </row>
    <row r="26" spans="1:33" ht="27.75" customHeight="1">
      <c r="A26" s="72" t="s">
        <v>83</v>
      </c>
      <c r="B26" s="103" t="s">
        <v>146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39">
        <f t="shared" si="0"/>
        <v>6522.97</v>
      </c>
      <c r="AC26" s="66"/>
      <c r="AD26" s="173">
        <v>6522.97</v>
      </c>
      <c r="AE26" s="90">
        <f t="shared" si="3"/>
        <v>6522.97</v>
      </c>
      <c r="AF26" s="90">
        <v>5922.97</v>
      </c>
      <c r="AG26" s="115">
        <f t="shared" si="2"/>
        <v>90.801736019022</v>
      </c>
    </row>
    <row r="27" spans="1:33" ht="29.25" customHeight="1">
      <c r="A27" s="72" t="s">
        <v>84</v>
      </c>
      <c r="B27" s="103" t="s">
        <v>147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39">
        <f t="shared" si="0"/>
        <v>6522.97</v>
      </c>
      <c r="AC27" s="66"/>
      <c r="AD27" s="173">
        <v>6522.97</v>
      </c>
      <c r="AE27" s="90">
        <f t="shared" si="3"/>
        <v>6522.97</v>
      </c>
      <c r="AF27" s="90">
        <v>5922.97</v>
      </c>
      <c r="AG27" s="115">
        <f t="shared" si="2"/>
        <v>90.801736019022</v>
      </c>
    </row>
    <row r="28" spans="1:33" ht="28.5" customHeight="1">
      <c r="A28" s="72" t="s">
        <v>85</v>
      </c>
      <c r="B28" s="103" t="s">
        <v>148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39">
        <f t="shared" si="0"/>
        <v>8508.04</v>
      </c>
      <c r="AC28" s="66"/>
      <c r="AD28" s="173">
        <v>8508.04</v>
      </c>
      <c r="AE28" s="90">
        <f t="shared" si="3"/>
        <v>8508.04</v>
      </c>
      <c r="AF28" s="90">
        <v>7908.04</v>
      </c>
      <c r="AG28" s="115">
        <f t="shared" si="2"/>
        <v>92.94784697768227</v>
      </c>
    </row>
    <row r="29" spans="1:33" ht="30" customHeight="1">
      <c r="A29" s="72" t="s">
        <v>86</v>
      </c>
      <c r="B29" s="103" t="s">
        <v>149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39">
        <f t="shared" si="0"/>
        <v>8508.04</v>
      </c>
      <c r="AC29" s="66"/>
      <c r="AD29" s="173">
        <v>8508.04</v>
      </c>
      <c r="AE29" s="90">
        <f t="shared" si="3"/>
        <v>8508.04</v>
      </c>
      <c r="AF29" s="90">
        <v>7908.04</v>
      </c>
      <c r="AG29" s="115">
        <f t="shared" si="2"/>
        <v>92.94784697768227</v>
      </c>
    </row>
    <row r="30" spans="1:33" ht="33" customHeight="1">
      <c r="A30" s="72" t="s">
        <v>87</v>
      </c>
      <c r="B30" s="103" t="s">
        <v>150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39">
        <f t="shared" si="0"/>
        <v>25886.85</v>
      </c>
      <c r="AC30" s="66"/>
      <c r="AD30" s="173">
        <v>25886.85</v>
      </c>
      <c r="AE30" s="90">
        <f t="shared" si="3"/>
        <v>25886.85</v>
      </c>
      <c r="AF30" s="90">
        <v>25286.85</v>
      </c>
      <c r="AG30" s="115">
        <f t="shared" si="2"/>
        <v>97.6822208959375</v>
      </c>
    </row>
    <row r="31" spans="1:33" ht="30.75" customHeight="1">
      <c r="A31" s="72" t="s">
        <v>88</v>
      </c>
      <c r="B31" s="103" t="s">
        <v>151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39">
        <f t="shared" si="0"/>
        <v>6545.25</v>
      </c>
      <c r="AC31" s="66"/>
      <c r="AD31" s="173">
        <v>6545.25</v>
      </c>
      <c r="AE31" s="90">
        <f t="shared" si="3"/>
        <v>6545.25</v>
      </c>
      <c r="AF31" s="90">
        <v>5945.25</v>
      </c>
      <c r="AG31" s="115">
        <f t="shared" si="2"/>
        <v>90.8330468660479</v>
      </c>
    </row>
    <row r="32" spans="1:33" ht="29.25" customHeight="1">
      <c r="A32" s="72" t="s">
        <v>89</v>
      </c>
      <c r="B32" s="103" t="s">
        <v>152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39">
        <f t="shared" si="0"/>
        <v>60000</v>
      </c>
      <c r="AC32" s="66"/>
      <c r="AD32" s="173">
        <v>60000</v>
      </c>
      <c r="AE32" s="90">
        <f t="shared" si="3"/>
        <v>60000</v>
      </c>
      <c r="AF32" s="154"/>
      <c r="AG32" s="115">
        <f t="shared" si="2"/>
        <v>0</v>
      </c>
    </row>
    <row r="33" spans="1:33" ht="26.25" customHeight="1">
      <c r="A33" s="72" t="s">
        <v>90</v>
      </c>
      <c r="B33" s="103" t="s">
        <v>153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39">
        <f t="shared" si="0"/>
        <v>64000</v>
      </c>
      <c r="AC33" s="66"/>
      <c r="AD33" s="173">
        <v>64000</v>
      </c>
      <c r="AE33" s="90">
        <f t="shared" si="3"/>
        <v>64000</v>
      </c>
      <c r="AF33" s="154"/>
      <c r="AG33" s="115">
        <f t="shared" si="2"/>
        <v>0</v>
      </c>
    </row>
    <row r="34" spans="1:33" ht="29.25" customHeight="1">
      <c r="A34" s="72" t="s">
        <v>91</v>
      </c>
      <c r="B34" s="103" t="s">
        <v>154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39">
        <f t="shared" si="0"/>
        <v>5000</v>
      </c>
      <c r="AC34" s="66"/>
      <c r="AD34" s="173">
        <v>5000</v>
      </c>
      <c r="AE34" s="90">
        <f t="shared" si="3"/>
        <v>5000</v>
      </c>
      <c r="AF34" s="90">
        <v>2300</v>
      </c>
      <c r="AG34" s="115">
        <f t="shared" si="2"/>
        <v>46</v>
      </c>
    </row>
    <row r="35" spans="1:33" ht="27.75" customHeight="1">
      <c r="A35" s="72" t="s">
        <v>92</v>
      </c>
      <c r="B35" s="103" t="s">
        <v>155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39">
        <f t="shared" si="0"/>
        <v>60000</v>
      </c>
      <c r="AC35" s="66"/>
      <c r="AD35" s="173">
        <v>60000</v>
      </c>
      <c r="AE35" s="90">
        <f t="shared" si="3"/>
        <v>60000</v>
      </c>
      <c r="AF35" s="154"/>
      <c r="AG35" s="115">
        <f t="shared" si="2"/>
        <v>0</v>
      </c>
    </row>
    <row r="36" spans="1:33" ht="35.25" customHeight="1">
      <c r="A36" s="72" t="s">
        <v>93</v>
      </c>
      <c r="B36" s="103" t="s">
        <v>156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39">
        <f t="shared" si="0"/>
        <v>62000</v>
      </c>
      <c r="AC36" s="66"/>
      <c r="AD36" s="173">
        <v>62000</v>
      </c>
      <c r="AE36" s="90">
        <f t="shared" si="3"/>
        <v>62000</v>
      </c>
      <c r="AF36" s="154"/>
      <c r="AG36" s="115">
        <f t="shared" si="2"/>
        <v>0</v>
      </c>
    </row>
    <row r="37" spans="1:33" ht="27.75" customHeight="1">
      <c r="A37" s="72" t="s">
        <v>94</v>
      </c>
      <c r="B37" s="103" t="s">
        <v>107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39">
        <f t="shared" si="0"/>
        <v>61484.63</v>
      </c>
      <c r="AC37" s="66"/>
      <c r="AD37" s="173">
        <v>61484.63</v>
      </c>
      <c r="AE37" s="90">
        <f t="shared" si="3"/>
        <v>61484.63</v>
      </c>
      <c r="AF37" s="121">
        <v>61484.63</v>
      </c>
      <c r="AG37" s="115">
        <f t="shared" si="2"/>
        <v>100</v>
      </c>
    </row>
    <row r="38" spans="1:33" ht="36" customHeight="1">
      <c r="A38" s="72" t="s">
        <v>95</v>
      </c>
      <c r="B38" s="103" t="s">
        <v>108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39">
        <f t="shared" si="0"/>
        <v>61497.52</v>
      </c>
      <c r="AC38" s="66"/>
      <c r="AD38" s="173">
        <v>61497.52</v>
      </c>
      <c r="AE38" s="90">
        <f t="shared" si="3"/>
        <v>61497.52</v>
      </c>
      <c r="AF38" s="121">
        <v>61497.52</v>
      </c>
      <c r="AG38" s="115">
        <f t="shared" si="2"/>
        <v>100</v>
      </c>
    </row>
    <row r="39" spans="1:33" ht="33" customHeight="1">
      <c r="A39" s="72" t="s">
        <v>96</v>
      </c>
      <c r="B39" s="103" t="s">
        <v>109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39">
        <f t="shared" si="0"/>
        <v>65099.99999999999</v>
      </c>
      <c r="AC39" s="66"/>
      <c r="AD39" s="173">
        <v>65099.99999999999</v>
      </c>
      <c r="AE39" s="90">
        <f t="shared" si="3"/>
        <v>65099.99999999999</v>
      </c>
      <c r="AF39" s="154"/>
      <c r="AG39" s="115">
        <f t="shared" si="2"/>
        <v>0</v>
      </c>
    </row>
    <row r="40" spans="1:33" ht="27.75" customHeight="1">
      <c r="A40" s="72" t="s">
        <v>97</v>
      </c>
      <c r="B40" s="103" t="s">
        <v>110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39">
        <f t="shared" si="0"/>
        <v>110250</v>
      </c>
      <c r="AC40" s="66"/>
      <c r="AD40" s="173">
        <v>110250</v>
      </c>
      <c r="AE40" s="90">
        <f t="shared" si="3"/>
        <v>110250</v>
      </c>
      <c r="AF40" s="154"/>
      <c r="AG40" s="115">
        <f t="shared" si="2"/>
        <v>0</v>
      </c>
    </row>
    <row r="41" spans="1:33" ht="33.75" customHeight="1">
      <c r="A41" s="72" t="s">
        <v>98</v>
      </c>
      <c r="B41" s="103" t="s">
        <v>111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39">
        <f t="shared" si="0"/>
        <v>37800</v>
      </c>
      <c r="AC41" s="66"/>
      <c r="AD41" s="173">
        <v>37800</v>
      </c>
      <c r="AE41" s="90">
        <f t="shared" si="3"/>
        <v>37800</v>
      </c>
      <c r="AF41" s="154"/>
      <c r="AG41" s="115">
        <f t="shared" si="2"/>
        <v>0</v>
      </c>
    </row>
    <row r="42" spans="1:33" ht="24" customHeight="1">
      <c r="A42" s="72" t="s">
        <v>99</v>
      </c>
      <c r="B42" s="103" t="s">
        <v>157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39">
        <f t="shared" si="0"/>
        <v>308151.95</v>
      </c>
      <c r="AC42" s="66"/>
      <c r="AD42" s="173">
        <v>308151.95</v>
      </c>
      <c r="AE42" s="90">
        <f t="shared" si="3"/>
        <v>308151.95</v>
      </c>
      <c r="AF42" s="90">
        <v>308151.95</v>
      </c>
      <c r="AG42" s="115">
        <f t="shared" si="2"/>
        <v>100</v>
      </c>
    </row>
    <row r="43" spans="1:33" ht="33.75" customHeight="1">
      <c r="A43" s="72" t="s">
        <v>100</v>
      </c>
      <c r="B43" s="103" t="s">
        <v>158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39">
        <f t="shared" si="0"/>
        <v>1717</v>
      </c>
      <c r="AC43" s="66"/>
      <c r="AD43" s="173">
        <v>1717</v>
      </c>
      <c r="AE43" s="90">
        <f t="shared" si="3"/>
        <v>1717</v>
      </c>
      <c r="AF43" s="121">
        <v>1717</v>
      </c>
      <c r="AG43" s="115">
        <f t="shared" si="2"/>
        <v>100</v>
      </c>
    </row>
    <row r="44" spans="1:33" ht="39" customHeight="1">
      <c r="A44" s="72" t="s">
        <v>101</v>
      </c>
      <c r="B44" s="103" t="s">
        <v>159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39">
        <f t="shared" si="0"/>
        <v>214401.6</v>
      </c>
      <c r="AC44" s="66"/>
      <c r="AD44" s="173">
        <v>214401.6</v>
      </c>
      <c r="AE44" s="90">
        <f t="shared" si="3"/>
        <v>214401.6</v>
      </c>
      <c r="AF44" s="121">
        <f>6480+207921.6</f>
        <v>214401.6</v>
      </c>
      <c r="AG44" s="115">
        <f t="shared" si="2"/>
        <v>100</v>
      </c>
    </row>
    <row r="45" spans="1:33" ht="39" customHeight="1">
      <c r="A45" s="72" t="s">
        <v>130</v>
      </c>
      <c r="B45" s="103" t="s">
        <v>160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39">
        <f t="shared" si="0"/>
        <v>540</v>
      </c>
      <c r="AC45" s="66"/>
      <c r="AD45" s="173">
        <v>540</v>
      </c>
      <c r="AE45" s="90">
        <f t="shared" si="3"/>
        <v>540</v>
      </c>
      <c r="AF45" s="121">
        <v>540</v>
      </c>
      <c r="AG45" s="115">
        <f t="shared" si="2"/>
        <v>100</v>
      </c>
    </row>
    <row r="46" spans="1:33" ht="28.5" customHeight="1">
      <c r="A46" s="72" t="s">
        <v>131</v>
      </c>
      <c r="B46" s="103" t="s">
        <v>112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39">
        <f t="shared" si="0"/>
        <v>116666</v>
      </c>
      <c r="AC46" s="66"/>
      <c r="AD46" s="173">
        <v>116666</v>
      </c>
      <c r="AE46" s="90">
        <f t="shared" si="3"/>
        <v>116666</v>
      </c>
      <c r="AF46" s="121">
        <f>114641+1350+675</f>
        <v>116666</v>
      </c>
      <c r="AG46" s="115">
        <f t="shared" si="2"/>
        <v>100</v>
      </c>
    </row>
    <row r="47" spans="1:33" ht="27" customHeight="1">
      <c r="A47" s="72" t="s">
        <v>132</v>
      </c>
      <c r="B47" s="103" t="s">
        <v>113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39">
        <f t="shared" si="0"/>
        <v>116666</v>
      </c>
      <c r="AC47" s="63"/>
      <c r="AD47" s="173">
        <v>116666</v>
      </c>
      <c r="AE47" s="90">
        <f t="shared" si="3"/>
        <v>116666</v>
      </c>
      <c r="AF47" s="121">
        <f>114641+1350+675</f>
        <v>116666</v>
      </c>
      <c r="AG47" s="115">
        <f t="shared" si="2"/>
        <v>100</v>
      </c>
    </row>
    <row r="48" spans="1:33" ht="24.75" customHeight="1">
      <c r="A48" s="72" t="s">
        <v>133</v>
      </c>
      <c r="B48" s="103" t="s">
        <v>114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39">
        <f t="shared" si="0"/>
        <v>25000</v>
      </c>
      <c r="AC48" s="74"/>
      <c r="AD48" s="173">
        <v>25000</v>
      </c>
      <c r="AE48" s="90">
        <f t="shared" si="3"/>
        <v>25000</v>
      </c>
      <c r="AF48" s="121">
        <v>25000</v>
      </c>
      <c r="AG48" s="115">
        <f t="shared" si="2"/>
        <v>100</v>
      </c>
    </row>
    <row r="49" spans="1:33" ht="42.75" customHeight="1">
      <c r="A49" s="84" t="s">
        <v>39</v>
      </c>
      <c r="B49" s="95" t="s">
        <v>117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54">
        <f>AB50</f>
        <v>601264</v>
      </c>
      <c r="AC49" s="97"/>
      <c r="AD49" s="98">
        <f>AD50</f>
        <v>601264</v>
      </c>
      <c r="AE49" s="86">
        <f>AE50</f>
        <v>601264</v>
      </c>
      <c r="AF49" s="86">
        <f>AF50</f>
        <v>596639</v>
      </c>
      <c r="AG49" s="114">
        <f t="shared" si="2"/>
        <v>99.2307871417547</v>
      </c>
    </row>
    <row r="50" spans="1:33" ht="51.75">
      <c r="A50" s="94" t="s">
        <v>53</v>
      </c>
      <c r="B50" s="103" t="s">
        <v>161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65">
        <f>AD50</f>
        <v>601264</v>
      </c>
      <c r="AC50" s="74"/>
      <c r="AD50" s="75">
        <v>601264</v>
      </c>
      <c r="AE50" s="75">
        <f>AD50</f>
        <v>601264</v>
      </c>
      <c r="AF50" s="75">
        <f>307752+3676+16500+268711</f>
        <v>596639</v>
      </c>
      <c r="AG50" s="115">
        <f t="shared" si="2"/>
        <v>99.2307871417547</v>
      </c>
    </row>
    <row r="51" spans="1:33" s="3" customFormat="1" ht="30.75" customHeight="1">
      <c r="A51" s="91" t="s">
        <v>40</v>
      </c>
      <c r="B51" s="92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85890043.6</v>
      </c>
      <c r="AC51" s="59">
        <f>AC52+AC58+AC66+AC70+AC77+AC82+AC85+AC90+AC92+AC95+AC96+AC99</f>
        <v>85190043.6</v>
      </c>
      <c r="AD51" s="131">
        <f>AD85</f>
        <v>700000</v>
      </c>
      <c r="AE51" s="131">
        <f>AE85</f>
        <v>700000</v>
      </c>
      <c r="AF51" s="59">
        <f>AF52+AF58+AF66+AF70+AF77+AF82+AF85+AF90+AF92+AF95+AF96+AF99</f>
        <v>76667129.51</v>
      </c>
      <c r="AG51" s="114">
        <f t="shared" si="2"/>
        <v>89.26195202210843</v>
      </c>
    </row>
    <row r="52" spans="1:33" ht="38.25" customHeight="1">
      <c r="A52" s="27" t="s">
        <v>15</v>
      </c>
      <c r="B52" s="29" t="s">
        <v>54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17326776.8</v>
      </c>
      <c r="AG52" s="117">
        <f t="shared" si="2"/>
        <v>81.7829526957381</v>
      </c>
    </row>
    <row r="53" spans="1:33" ht="25.5">
      <c r="A53" s="10"/>
      <c r="B53" s="22" t="s">
        <v>75</v>
      </c>
      <c r="AB53" s="45">
        <f t="shared" si="0"/>
        <v>5144038</v>
      </c>
      <c r="AC53" s="20">
        <f>5144038</f>
        <v>5144038</v>
      </c>
      <c r="AD53" s="67"/>
      <c r="AE53" s="20"/>
      <c r="AF53" s="118">
        <f>324175+336167+149658+420490+413155+499445+448055+420235+484305+297810+419185+31300+449920</f>
        <v>4693900</v>
      </c>
      <c r="AG53" s="141">
        <f t="shared" si="2"/>
        <v>91.24932591866546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2">
        <f>2603768.82+1149494.03+1033722.65+872286.13+677084.69+554419.72+698260.85+951445.19+1065536.3</f>
        <v>9606018.38</v>
      </c>
      <c r="AG54" s="141">
        <f t="shared" si="2"/>
        <v>77.32550522091056</v>
      </c>
    </row>
    <row r="55" spans="1:33" ht="25.5">
      <c r="A55" s="10"/>
      <c r="B55" s="22" t="s">
        <v>76</v>
      </c>
      <c r="AB55" s="45">
        <f t="shared" si="0"/>
        <v>870700</v>
      </c>
      <c r="AC55" s="20">
        <v>870700</v>
      </c>
      <c r="AD55" s="67"/>
      <c r="AE55" s="20"/>
      <c r="AF55" s="118">
        <f>417685.71+3200+35760.98+34526+3200+32470.1+5197.54+36722+31567.44+37793.96+4125.96+28022.23+5179.6+36722+3200+24552.34</f>
        <v>739925.8599999999</v>
      </c>
      <c r="AG55" s="141">
        <f t="shared" si="2"/>
        <v>84.98057425060294</v>
      </c>
    </row>
    <row r="56" spans="1:33" ht="25.5">
      <c r="A56" s="10"/>
      <c r="B56" s="22" t="s">
        <v>116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18">
        <f>45438.97+44255.69+37484.28+40935.59+44353.81+42750.1+40647.87+52921.26+44937.87+41673.6+57277.65+61528.78+51686.06+58295.5+52217.22+71034.32+37704.25+216967.97+54118.64+53972.4+53306.28+45992.48+54205.28</f>
        <v>1303705.8699999999</v>
      </c>
      <c r="AG56" s="141">
        <f t="shared" si="2"/>
        <v>81.98892333815483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18">
        <f>100963.54+129283.26+160067.74+105390.88+83091+105042.86+84898.5+106131.69+108357.22</f>
        <v>983226.69</v>
      </c>
      <c r="AG57" s="141">
        <f t="shared" si="2"/>
        <v>84.86165819252682</v>
      </c>
    </row>
    <row r="58" spans="1:33" ht="25.5">
      <c r="A58" s="27" t="s">
        <v>118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11919154</v>
      </c>
      <c r="AC58" s="19">
        <f>SUM(AC59:AC65)</f>
        <v>11919154</v>
      </c>
      <c r="AD58" s="67"/>
      <c r="AE58" s="19"/>
      <c r="AF58" s="19">
        <f>SUM(AF59:AF65)</f>
        <v>11187624.01</v>
      </c>
      <c r="AG58" s="117">
        <f t="shared" si="2"/>
        <v>93.8625678466777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2">
        <f>159420+157905.51+548500+548500+573500+578543.2+548500+96000+252500+305627.3</f>
        <v>3768996.01</v>
      </c>
      <c r="AG59" s="141">
        <f t="shared" si="2"/>
        <v>99.999788007654</v>
      </c>
    </row>
    <row r="60" spans="1:33" ht="13.5">
      <c r="A60" s="11"/>
      <c r="B60" s="22" t="s">
        <v>45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260000</v>
      </c>
      <c r="AC60" s="20">
        <v>260000</v>
      </c>
      <c r="AD60" s="67"/>
      <c r="AE60" s="20"/>
      <c r="AF60" s="122">
        <f>119988+139980</f>
        <v>259968</v>
      </c>
      <c r="AG60" s="141">
        <f t="shared" si="2"/>
        <v>99.98769230769231</v>
      </c>
    </row>
    <row r="61" spans="1:33" ht="13.5">
      <c r="A61" s="11"/>
      <c r="B61" s="22" t="s">
        <v>49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2">
        <f>186900+96800+90100+96800+186900+186900+90100</f>
        <v>934500</v>
      </c>
      <c r="AG61" s="141">
        <f t="shared" si="2"/>
        <v>98.36842105263159</v>
      </c>
    </row>
    <row r="62" spans="1:33" ht="13.5">
      <c r="A62" s="11"/>
      <c r="B62" s="167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2">
        <f>50000+80000+80000+80000+97000</f>
        <v>387000</v>
      </c>
      <c r="AG62" s="141">
        <f t="shared" si="2"/>
        <v>96.75</v>
      </c>
    </row>
    <row r="63" spans="1:37" ht="57" customHeight="1">
      <c r="A63" s="11"/>
      <c r="B63" s="167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18">
        <f>334500+599412+766710+184408-382500+487050+229400+50115+449125+390683+392211.1+120790+103005.9+185590+174510+127950</f>
        <v>4212960</v>
      </c>
      <c r="AG63" s="141">
        <f t="shared" si="2"/>
        <v>94.8832809702375</v>
      </c>
      <c r="AI63" s="169"/>
      <c r="AJ63" s="169"/>
      <c r="AK63" s="169"/>
    </row>
    <row r="64" spans="1:33" ht="13.5">
      <c r="A64" s="11"/>
      <c r="B64" s="168" t="s">
        <v>163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181">
        <v>99400</v>
      </c>
      <c r="AG64" s="141">
        <f t="shared" si="2"/>
        <v>99.4</v>
      </c>
    </row>
    <row r="65" spans="1:33" ht="25.5">
      <c r="A65" s="11"/>
      <c r="B65" s="168" t="s">
        <v>58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135300+67900+128825+104900+163750+90800+306885+526440</f>
        <v>1524800</v>
      </c>
      <c r="AG65" s="141">
        <f t="shared" si="2"/>
        <v>76.24</v>
      </c>
    </row>
    <row r="66" spans="1:33" ht="25.5" customHeight="1">
      <c r="A66" s="27" t="s">
        <v>119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1842678.38</v>
      </c>
      <c r="AG66" s="117">
        <f t="shared" si="2"/>
        <v>97.68154710471826</v>
      </c>
    </row>
    <row r="67" spans="1:33" ht="13.5">
      <c r="A67" s="11"/>
      <c r="B67" s="26" t="s">
        <v>17</v>
      </c>
      <c r="AB67" s="41">
        <f t="shared" si="0"/>
        <v>1374225</v>
      </c>
      <c r="AC67" s="20">
        <f>1374225</f>
        <v>1374225</v>
      </c>
      <c r="AD67" s="67"/>
      <c r="AE67" s="20"/>
      <c r="AF67" s="119">
        <f>339880.61+247787.62+241185.16+241185.16+161438.21+142698.32</f>
        <v>1374175.08</v>
      </c>
      <c r="AG67" s="141">
        <f t="shared" si="2"/>
        <v>99.996367407084</v>
      </c>
    </row>
    <row r="68" spans="1:33" ht="13.5">
      <c r="A68" s="11"/>
      <c r="B68" s="26" t="s">
        <v>18</v>
      </c>
      <c r="AB68" s="41">
        <f t="shared" si="0"/>
        <v>238278</v>
      </c>
      <c r="AC68" s="20">
        <f>238278</f>
        <v>238278</v>
      </c>
      <c r="AD68" s="67"/>
      <c r="AE68" s="20"/>
      <c r="AF68" s="119">
        <f>47069.11+47069.11+47069.11+47069.1+31379.4+15544.84</f>
        <v>235200.67</v>
      </c>
      <c r="AG68" s="141">
        <f t="shared" si="2"/>
        <v>98.70851274561647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54">
        <f>35254.8+35009.29+42263.24+39725.56+81049.74</f>
        <v>233302.63</v>
      </c>
      <c r="AG69" s="141">
        <f t="shared" si="2"/>
        <v>85.1746114613871</v>
      </c>
    </row>
    <row r="70" spans="1:33" ht="13.5">
      <c r="A70" s="27" t="s">
        <v>120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5421806</v>
      </c>
      <c r="AC70" s="19">
        <f>SUM(AC71:AC76)</f>
        <v>5421806</v>
      </c>
      <c r="AD70" s="67"/>
      <c r="AE70" s="19"/>
      <c r="AF70" s="19">
        <f>SUM(AF71:AF76)</f>
        <v>4648096.449999999</v>
      </c>
      <c r="AG70" s="117">
        <f t="shared" si="2"/>
        <v>85.72967107270159</v>
      </c>
    </row>
    <row r="71" spans="1:33" ht="40.5" customHeight="1">
      <c r="A71" s="11"/>
      <c r="B71" s="22" t="s">
        <v>55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3392440</v>
      </c>
      <c r="AC71" s="20">
        <v>3392440</v>
      </c>
      <c r="AD71" s="67"/>
      <c r="AE71" s="20"/>
      <c r="AF71" s="118">
        <f>943292.69+110239.17+42262.5+25763.97+117826.99+10236.13+29552.79+204138.26+1396.01+4215+78254.55+35532+192775.39+264222.07+5927.5+2277.6+36720.41+123995.36+10890.16+56924.39+10701.76+102615.45+108000+79368.5+44105.61+105554.74+176160.85</f>
        <v>2922949.85</v>
      </c>
      <c r="AG71" s="141">
        <f t="shared" si="2"/>
        <v>86.16069407270284</v>
      </c>
    </row>
    <row r="72" spans="1:33" ht="13.5">
      <c r="A72" s="11"/>
      <c r="B72" s="22" t="s">
        <v>42</v>
      </c>
      <c r="AB72" s="20">
        <f t="shared" si="0"/>
        <v>500000</v>
      </c>
      <c r="AC72" s="20">
        <f>200000+50000+250000</f>
        <v>500000</v>
      </c>
      <c r="AD72" s="67"/>
      <c r="AE72" s="20"/>
      <c r="AF72" s="118">
        <f>382500+77500</f>
        <v>460000</v>
      </c>
      <c r="AG72" s="141">
        <f t="shared" si="2"/>
        <v>92</v>
      </c>
    </row>
    <row r="73" spans="1:33" ht="51.75">
      <c r="A73" s="11"/>
      <c r="B73" s="22" t="s">
        <v>74</v>
      </c>
      <c r="AB73" s="20">
        <f t="shared" si="0"/>
        <v>1365240</v>
      </c>
      <c r="AC73" s="20">
        <v>1365240</v>
      </c>
      <c r="AD73" s="67"/>
      <c r="AE73" s="20"/>
      <c r="AF73" s="118">
        <f>14937.5+3286.25+67768.09+13945.14+18952.7+62004+18952.7+70935.29+19701.87+6615+74549.96+19701.87+76630.02+19701.87+72270.18+30661.48+86507.4+32099.9+25166.55+76452.74+82406.83+66673.62+21036.66+73118.01+21633.54+68783.78</f>
        <v>1144492.95</v>
      </c>
      <c r="AG73" s="141">
        <f t="shared" si="2"/>
        <v>83.83089786411179</v>
      </c>
    </row>
    <row r="74" spans="1:33" ht="25.5">
      <c r="A74" s="11"/>
      <c r="B74" s="22" t="s">
        <v>169</v>
      </c>
      <c r="AB74" s="20">
        <f t="shared" si="0"/>
        <v>44770</v>
      </c>
      <c r="AC74" s="20">
        <v>44770</v>
      </c>
      <c r="AD74" s="67"/>
      <c r="AE74" s="20"/>
      <c r="AF74" s="134">
        <f>44770</f>
        <v>44770</v>
      </c>
      <c r="AG74" s="141">
        <f t="shared" si="2"/>
        <v>100</v>
      </c>
    </row>
    <row r="75" spans="1:33" ht="13.5">
      <c r="A75" s="11"/>
      <c r="B75" s="26" t="s">
        <v>20</v>
      </c>
      <c r="AB75" s="20">
        <f t="shared" si="0"/>
        <v>105496</v>
      </c>
      <c r="AC75" s="20">
        <v>105496</v>
      </c>
      <c r="AD75" s="67"/>
      <c r="AE75" s="20"/>
      <c r="AF75" s="122">
        <f>34298.08+7674.14+6618.18+6144.56+9987.88+801.72</f>
        <v>65524.56</v>
      </c>
      <c r="AG75" s="141">
        <f t="shared" si="2"/>
        <v>62.1109425949799</v>
      </c>
    </row>
    <row r="76" spans="1:33" ht="13.5">
      <c r="A76" s="11"/>
      <c r="B76" s="26" t="s">
        <v>21</v>
      </c>
      <c r="AB76" s="20">
        <f t="shared" si="0"/>
        <v>13860</v>
      </c>
      <c r="AC76" s="20">
        <v>13860</v>
      </c>
      <c r="AD76" s="67"/>
      <c r="AE76" s="20"/>
      <c r="AF76" s="122">
        <f>1096.45+1623.08+725.56+343.59+788.59+984.51+1022.12+1229.16+1206.12+1339.91</f>
        <v>10359.09</v>
      </c>
      <c r="AG76" s="141">
        <f aca="true" t="shared" si="9" ref="AG76:AG119">AF76/AB76*100</f>
        <v>74.74090909090908</v>
      </c>
    </row>
    <row r="77" spans="1:33" ht="13.5">
      <c r="A77" s="27" t="s">
        <v>121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AF80+AF78+AF79+AF81</f>
        <v>24094906.240000002</v>
      </c>
      <c r="AG77" s="117">
        <f t="shared" si="9"/>
        <v>98.64317005460912</v>
      </c>
    </row>
    <row r="78" spans="1:33" ht="30" customHeight="1">
      <c r="A78" s="11"/>
      <c r="B78" s="22" t="s">
        <v>44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192232.6+707168.71+288201.71+655125.76+439778.63+820017.91</f>
        <v>3102525.3200000003</v>
      </c>
      <c r="AG78" s="141">
        <f t="shared" si="9"/>
        <v>90.41757336076682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41">
        <f t="shared" si="9"/>
        <v>99.70927374301675</v>
      </c>
    </row>
    <row r="80" spans="1:33" ht="27.75" customHeight="1">
      <c r="A80" s="11"/>
      <c r="B80" s="22" t="s">
        <v>59</v>
      </c>
      <c r="AB80" s="145">
        <f>AC80+AD80</f>
        <v>20000000</v>
      </c>
      <c r="AC80" s="77">
        <v>20000000</v>
      </c>
      <c r="AD80" s="146"/>
      <c r="AE80" s="77"/>
      <c r="AF80" s="171">
        <f>2564498.56+788337.15+1768939.39+804063.36+592442.11+804063.36+804063.36+804063.36+1650061.44+1100040.96+378871.3+281153.28+549023.49+881029.76+1980073.73+745486.72+464558.34+2090077.82+949135.49</f>
        <v>19999982.98</v>
      </c>
      <c r="AG80" s="147">
        <f>AF80/AB80*100</f>
        <v>99.9999149</v>
      </c>
    </row>
    <row r="81" spans="1:33" ht="51.75">
      <c r="A81" s="11"/>
      <c r="B81" s="144" t="s">
        <v>175</v>
      </c>
      <c r="AB81" s="42">
        <f>AC81+AD81</f>
        <v>100000</v>
      </c>
      <c r="AC81" s="71">
        <v>100000</v>
      </c>
      <c r="AD81" s="37"/>
      <c r="AE81" s="37"/>
      <c r="AF81" s="42">
        <f>32374.76+10325.24+57299.94</f>
        <v>99999.94</v>
      </c>
      <c r="AG81" s="141">
        <f>AF81/AB81*100</f>
        <v>99.99994</v>
      </c>
    </row>
    <row r="82" spans="1:33" ht="34.5" customHeight="1">
      <c r="A82" s="27" t="s">
        <v>122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48">
        <f t="shared" si="0"/>
        <v>1186226.97</v>
      </c>
      <c r="AC82" s="148">
        <f>SUM(AC83:AC84)</f>
        <v>1186226.97</v>
      </c>
      <c r="AD82" s="149"/>
      <c r="AE82" s="148"/>
      <c r="AF82" s="150">
        <f>AF83+AF84</f>
        <v>1149524.7799999998</v>
      </c>
      <c r="AG82" s="151">
        <f t="shared" si="9"/>
        <v>96.90597238739225</v>
      </c>
    </row>
    <row r="83" spans="1:33" ht="25.5">
      <c r="A83" s="11"/>
      <c r="B83" s="22" t="s">
        <v>32</v>
      </c>
      <c r="AB83" s="43">
        <f aca="true" t="shared" si="12" ref="AB83:AB107">AC83+AD83</f>
        <v>750726.97</v>
      </c>
      <c r="AC83" s="20">
        <v>750726.97</v>
      </c>
      <c r="AD83" s="67"/>
      <c r="AE83" s="20"/>
      <c r="AF83" s="118">
        <f>80937.24+20234.31+20234.31+23108.63+22431.99+23108.63+23108.63+23108.63+23108.63+23108.63+23968.48+23968.49+23968.48+34018.49+23968.48+23968.49+20965.46+118066.72+118066.71+20965.45</f>
        <v>714414.8799999999</v>
      </c>
      <c r="AG83" s="141">
        <f t="shared" si="9"/>
        <v>95.16307639780143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18">
        <f>165041+110068.9+160000</f>
        <v>435109.9</v>
      </c>
      <c r="AG84" s="141">
        <f t="shared" si="9"/>
        <v>99.91042479908153</v>
      </c>
    </row>
    <row r="85" spans="1:33" ht="25.5">
      <c r="A85" s="27" t="s">
        <v>123</v>
      </c>
      <c r="B85" s="21" t="s">
        <v>36</v>
      </c>
      <c r="AB85" s="48">
        <f t="shared" si="12"/>
        <v>17172710.63</v>
      </c>
      <c r="AC85" s="19">
        <f>SUM(AC86:AC88)</f>
        <v>16472710.629999999</v>
      </c>
      <c r="AD85" s="73">
        <f>AD89</f>
        <v>700000</v>
      </c>
      <c r="AE85" s="73">
        <f>AE89</f>
        <v>700000</v>
      </c>
      <c r="AF85" s="23">
        <f>SUM(AF86:AF89)</f>
        <v>14891028.080000002</v>
      </c>
      <c r="AG85" s="117">
        <f t="shared" si="9"/>
        <v>86.71332325361615</v>
      </c>
    </row>
    <row r="86" spans="1:33" ht="39">
      <c r="A86" s="11"/>
      <c r="B86" s="22" t="s">
        <v>48</v>
      </c>
      <c r="AB86" s="43">
        <f t="shared" si="12"/>
        <v>15403198.36</v>
      </c>
      <c r="AC86" s="20">
        <v>15403198.36</v>
      </c>
      <c r="AD86" s="74"/>
      <c r="AE86" s="20"/>
      <c r="AF86" s="172">
        <f>9630991.7+113378.21+162181.28+369013.78+200050+61784.03+5700+36696.48+435740.35+200050+53780.21+600254.66+3863.74+107482.45+9991.8+391223.13+168970+2291.17+47137.83+228579.98+254320+183574.55+254320-20965.45</f>
        <v>13500409.900000002</v>
      </c>
      <c r="AG86" s="141">
        <f t="shared" si="9"/>
        <v>87.64679636314183</v>
      </c>
    </row>
    <row r="87" spans="1:33" ht="42.75" customHeight="1">
      <c r="A87" s="11"/>
      <c r="B87" s="22" t="s">
        <v>60</v>
      </c>
      <c r="AB87" s="43">
        <f t="shared" si="12"/>
        <v>1039512.27</v>
      </c>
      <c r="AC87" s="20">
        <v>1039512.27</v>
      </c>
      <c r="AD87" s="63"/>
      <c r="AE87" s="20"/>
      <c r="AF87" s="172">
        <f>145332+51839.42+77926.65+65541.63+5958.33+61072.69+5595.78+29990.1+31120+19345.66+1273.54+112500+4692.72+4496.36+63901.19+135800.32+33120+92000+20000+58000</f>
        <v>1019506.3899999999</v>
      </c>
      <c r="AG87" s="141">
        <f t="shared" si="9"/>
        <v>98.07545513628232</v>
      </c>
    </row>
    <row r="88" spans="1:33" ht="81" customHeight="1">
      <c r="A88" s="11"/>
      <c r="B88" s="22" t="s">
        <v>77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18">
        <v>19093.75</v>
      </c>
      <c r="AG88" s="141">
        <f t="shared" si="9"/>
        <v>63.645833333333336</v>
      </c>
    </row>
    <row r="89" spans="1:33" ht="18" customHeight="1">
      <c r="A89" s="11"/>
      <c r="B89" s="22" t="s">
        <v>168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33">
        <f>AD89</f>
        <v>700000</v>
      </c>
      <c r="AC89" s="20"/>
      <c r="AD89" s="18">
        <v>700000</v>
      </c>
      <c r="AE89" s="77">
        <v>700000</v>
      </c>
      <c r="AF89" s="134">
        <v>352018.04</v>
      </c>
      <c r="AG89" s="141">
        <f t="shared" si="9"/>
        <v>50.288291428571426</v>
      </c>
    </row>
    <row r="90" spans="1:33" ht="36" customHeight="1">
      <c r="A90" s="27" t="s">
        <v>124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17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41">
        <f t="shared" si="9"/>
        <v>0</v>
      </c>
    </row>
    <row r="92" spans="1:33" ht="30.75" customHeight="1">
      <c r="A92" s="27" t="s">
        <v>125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1384080.38</v>
      </c>
      <c r="AG92" s="141">
        <f t="shared" si="9"/>
        <v>62.62724968767378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19">
        <f>598673.81+461491.26+118552.34+62088.55+40022.22+12331.17+26176.7+47149.15</f>
        <v>1366485.2</v>
      </c>
      <c r="AG93" s="141">
        <f t="shared" si="9"/>
        <v>64.7614416673894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19">
        <f>1533.37+3783.47+2147.3+4585.69+1619.99+617.14+1143.39+236.36+1007.7+920.77</f>
        <v>17595.18</v>
      </c>
      <c r="AG94" s="141">
        <f t="shared" si="9"/>
        <v>17.59518</v>
      </c>
    </row>
    <row r="95" spans="1:33" ht="13.5">
      <c r="A95" s="27" t="s">
        <v>126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0">
        <f>13200+29766</f>
        <v>42966</v>
      </c>
      <c r="AG95" s="115">
        <f t="shared" si="9"/>
        <v>18.680869565217392</v>
      </c>
    </row>
    <row r="96" spans="1:33" ht="13.5">
      <c r="A96" s="27" t="s">
        <v>127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97506.31000000001</v>
      </c>
      <c r="AG96" s="117">
        <f t="shared" si="9"/>
        <v>82.31645462757382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9992.52+20398+20398+20398+22666.91</f>
        <v>93853.43000000001</v>
      </c>
      <c r="AG97" s="141">
        <f t="shared" si="9"/>
        <v>84.07545462689242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321.84+724.14+708.05+933.33+965.52</f>
        <v>3652.88</v>
      </c>
      <c r="AG98" s="141">
        <f t="shared" si="9"/>
        <v>53.53773999706875</v>
      </c>
    </row>
    <row r="99" spans="1:33" ht="13.5">
      <c r="A99" s="27" t="s">
        <v>128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1942.0800000000002</v>
      </c>
      <c r="AG99" s="117">
        <f t="shared" si="9"/>
        <v>73.95582635186597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70">
        <f>622.33+331.71+663.42+179.66</f>
        <v>1797.1200000000001</v>
      </c>
      <c r="AG100" s="141">
        <f t="shared" si="9"/>
        <v>72.64025869037995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70">
        <f>72.48+36.24+36.24</f>
        <v>144.96</v>
      </c>
      <c r="AG101" s="141">
        <f t="shared" si="9"/>
        <v>95.36842105263158</v>
      </c>
    </row>
    <row r="102" spans="1:33" s="3" customFormat="1" ht="35.25" customHeight="1">
      <c r="A102" s="28" t="s">
        <v>71</v>
      </c>
      <c r="B102" s="24" t="s">
        <v>47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16"/>
      <c r="AG102" s="114">
        <f t="shared" si="9"/>
        <v>0</v>
      </c>
    </row>
    <row r="103" spans="1:33" ht="30" customHeight="1">
      <c r="A103" s="88" t="s">
        <v>102</v>
      </c>
      <c r="B103" s="89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5">
        <f t="shared" si="9"/>
        <v>0</v>
      </c>
    </row>
    <row r="104" spans="1:33" s="3" customFormat="1" ht="30">
      <c r="A104" s="28" t="s">
        <v>103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6483820</v>
      </c>
      <c r="AC104" s="55">
        <f>SUM(AC106:AC109)</f>
        <v>6293820</v>
      </c>
      <c r="AD104" s="25">
        <f>AD108</f>
        <v>190000</v>
      </c>
      <c r="AE104" s="25">
        <f>AE108</f>
        <v>190000</v>
      </c>
      <c r="AF104" s="55">
        <f>SUM(AF106:AF109)</f>
        <v>2804206.47</v>
      </c>
      <c r="AG104" s="114">
        <f t="shared" si="9"/>
        <v>43.249295477049024</v>
      </c>
    </row>
    <row r="105" spans="1:33" ht="13.5">
      <c r="A105" s="27" t="s">
        <v>115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1273820</v>
      </c>
      <c r="AC105" s="70">
        <f>AC106+AC107</f>
        <v>893820</v>
      </c>
      <c r="AD105" s="23">
        <f>AD106+AD107+AD108</f>
        <v>190000</v>
      </c>
      <c r="AE105" s="23">
        <f>AE106+AE107+AE108</f>
        <v>190000</v>
      </c>
      <c r="AF105" s="23">
        <f>AF106+AF107+AF108</f>
        <v>904206.4700000002</v>
      </c>
      <c r="AG105" s="117">
        <f t="shared" si="9"/>
        <v>70.98384936647251</v>
      </c>
    </row>
    <row r="106" spans="1:33" ht="51.75">
      <c r="A106" s="10"/>
      <c r="B106" s="89" t="s">
        <v>46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1">
        <f>109655.91+23259.68+27706.63+7350+18352.85+22641.26+10396+21237.21+24907.67+7350+20122.36+21974.45+7350+19995.93+8446.2+24606+18560.27+129997.22+26174.99+21285.31+46648.55+3675+24101.67+50502.75+18058.56</f>
        <v>714356.4700000002</v>
      </c>
      <c r="AG106" s="115">
        <f t="shared" si="9"/>
        <v>86.9237144386849</v>
      </c>
    </row>
    <row r="107" spans="1:33" ht="25.5">
      <c r="A107" s="10"/>
      <c r="B107" s="89" t="s">
        <v>43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5">
        <f t="shared" si="9"/>
        <v>0</v>
      </c>
    </row>
    <row r="108" spans="1:33" ht="25.5">
      <c r="A108" s="10"/>
      <c r="B108" s="103" t="s">
        <v>162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2">
        <f>AD108</f>
        <v>190000</v>
      </c>
      <c r="AC108" s="135"/>
      <c r="AD108" s="137">
        <f>50000+140000</f>
        <v>190000</v>
      </c>
      <c r="AE108" s="137">
        <f>AD108</f>
        <v>190000</v>
      </c>
      <c r="AF108" s="137">
        <v>189850</v>
      </c>
      <c r="AG108" s="178">
        <f t="shared" si="9"/>
        <v>99.92105263157895</v>
      </c>
    </row>
    <row r="109" spans="1:33" ht="39">
      <c r="A109" s="152" t="s">
        <v>170</v>
      </c>
      <c r="B109" s="155" t="s">
        <v>187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36">
        <f>AB110+AB111</f>
        <v>5400000</v>
      </c>
      <c r="AC109" s="136">
        <f>AC110+AC111</f>
        <v>5400000</v>
      </c>
      <c r="AD109" s="70"/>
      <c r="AE109" s="70"/>
      <c r="AF109" s="70">
        <f>AF110+AF111</f>
        <v>1900000</v>
      </c>
      <c r="AG109" s="117">
        <f t="shared" si="9"/>
        <v>35.18518518518518</v>
      </c>
    </row>
    <row r="110" spans="1:33" ht="39">
      <c r="A110" s="10"/>
      <c r="B110" s="177" t="s">
        <v>188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57">
        <f>AC110</f>
        <v>3500000</v>
      </c>
      <c r="AC110" s="106">
        <v>3500000</v>
      </c>
      <c r="AD110" s="176"/>
      <c r="AE110" s="176"/>
      <c r="AF110" s="176"/>
      <c r="AG110" s="179"/>
    </row>
    <row r="111" spans="1:33" ht="25.5">
      <c r="A111" s="37"/>
      <c r="B111" s="180" t="s">
        <v>189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57">
        <f>AC111</f>
        <v>1900000</v>
      </c>
      <c r="AC111" s="106">
        <v>1900000</v>
      </c>
      <c r="AD111" s="106"/>
      <c r="AE111" s="106"/>
      <c r="AF111" s="106">
        <v>1900000</v>
      </c>
      <c r="AG111" s="117">
        <f t="shared" si="9"/>
        <v>100</v>
      </c>
    </row>
    <row r="112" spans="1:33" ht="135">
      <c r="A112" s="158" t="s">
        <v>176</v>
      </c>
      <c r="B112" s="159" t="s">
        <v>180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3">
        <f>AB113+AB114</f>
        <v>3572000</v>
      </c>
      <c r="AC112" s="163">
        <f>AC113+AC114</f>
        <v>3572000</v>
      </c>
      <c r="AD112" s="164"/>
      <c r="AE112" s="164"/>
      <c r="AF112" s="166">
        <f>AF113+AF114</f>
        <v>3450310.7</v>
      </c>
      <c r="AG112" s="114">
        <f t="shared" si="9"/>
        <v>96.59324468085106</v>
      </c>
    </row>
    <row r="113" spans="1:33" ht="64.5">
      <c r="A113" s="123" t="s">
        <v>129</v>
      </c>
      <c r="B113" s="162" t="s">
        <v>181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7">
        <f>AC113</f>
        <v>2000000</v>
      </c>
      <c r="AC113" s="57">
        <v>2000000</v>
      </c>
      <c r="AD113" s="57"/>
      <c r="AE113" s="57"/>
      <c r="AF113" s="165">
        <f>325955+346726+306813+303945+272655+397627</f>
        <v>1953721</v>
      </c>
      <c r="AG113" s="115">
        <f t="shared" si="9"/>
        <v>97.68605000000001</v>
      </c>
    </row>
    <row r="114" spans="1:33" ht="64.5">
      <c r="A114" s="123" t="s">
        <v>177</v>
      </c>
      <c r="B114" s="162" t="s">
        <v>182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7">
        <f>AC114</f>
        <v>1572000</v>
      </c>
      <c r="AC114" s="57">
        <v>1572000</v>
      </c>
      <c r="AD114" s="57"/>
      <c r="AE114" s="57"/>
      <c r="AF114" s="165">
        <f>148901.64+155926.52+196037.73+151396.99+260996.25+259192.85+324137.72</f>
        <v>1496589.7</v>
      </c>
      <c r="AG114" s="115">
        <f t="shared" si="9"/>
        <v>95.20290712468193</v>
      </c>
    </row>
    <row r="115" spans="1:33" ht="48.75" customHeight="1">
      <c r="A115" s="28" t="s">
        <v>135</v>
      </c>
      <c r="B115" s="161" t="s">
        <v>72</v>
      </c>
      <c r="C115" s="153" t="e">
        <f>SUM(#REF!)</f>
        <v>#REF!</v>
      </c>
      <c r="D115" s="69" t="e">
        <f>SUM(#REF!)</f>
        <v>#REF!</v>
      </c>
      <c r="E115" s="69" t="e">
        <f>SUM(#REF!)</f>
        <v>#REF!</v>
      </c>
      <c r="F115" s="69" t="e">
        <f>SUM(#REF!)</f>
        <v>#REF!</v>
      </c>
      <c r="G115" s="69" t="e">
        <f>SUM(#REF!)</f>
        <v>#REF!</v>
      </c>
      <c r="H115" s="69" t="e">
        <f>SUM(#REF!)</f>
        <v>#REF!</v>
      </c>
      <c r="I115" s="69" t="e">
        <f>SUM(#REF!)</f>
        <v>#REF!</v>
      </c>
      <c r="J115" s="69" t="e">
        <f>SUM(#REF!)</f>
        <v>#REF!</v>
      </c>
      <c r="K115" s="69" t="e">
        <f>SUM(#REF!)</f>
        <v>#REF!</v>
      </c>
      <c r="L115" s="69" t="e">
        <f>SUM(#REF!)</f>
        <v>#REF!</v>
      </c>
      <c r="M115" s="69" t="e">
        <f>SUM(#REF!)</f>
        <v>#REF!</v>
      </c>
      <c r="N115" s="69" t="e">
        <f>SUM(#REF!)</f>
        <v>#REF!</v>
      </c>
      <c r="O115" s="69" t="e">
        <f>SUM(#REF!)</f>
        <v>#REF!</v>
      </c>
      <c r="P115" s="69" t="e">
        <f>SUM(#REF!)</f>
        <v>#REF!</v>
      </c>
      <c r="Q115" s="69" t="e">
        <f>SUM(#REF!)</f>
        <v>#REF!</v>
      </c>
      <c r="R115" s="69" t="e">
        <f>SUM(#REF!)</f>
        <v>#REF!</v>
      </c>
      <c r="S115" s="69" t="e">
        <f>SUM(#REF!)</f>
        <v>#REF!</v>
      </c>
      <c r="T115" s="69" t="e">
        <f>SUM(#REF!)</f>
        <v>#REF!</v>
      </c>
      <c r="U115" s="69" t="e">
        <f>SUM(#REF!)</f>
        <v>#REF!</v>
      </c>
      <c r="V115" s="69" t="e">
        <f>SUM(#REF!)</f>
        <v>#REF!</v>
      </c>
      <c r="W115" s="69" t="e">
        <f>SUM(#REF!)</f>
        <v>#REF!</v>
      </c>
      <c r="X115" s="69" t="e">
        <f>SUM(#REF!)</f>
        <v>#REF!</v>
      </c>
      <c r="Y115" s="69" t="e">
        <f>SUM(#REF!)</f>
        <v>#REF!</v>
      </c>
      <c r="Z115" s="69" t="e">
        <f>SUM(#REF!)</f>
        <v>#REF!</v>
      </c>
      <c r="AA115" s="69" t="e">
        <f>SUM(#REF!)</f>
        <v>#REF!</v>
      </c>
      <c r="AB115" s="87">
        <f>AB116+AD115</f>
        <v>16829251.08</v>
      </c>
      <c r="AC115" s="153">
        <f>AC116</f>
        <v>16829251.08</v>
      </c>
      <c r="AD115" s="143"/>
      <c r="AE115" s="69"/>
      <c r="AF115" s="142">
        <f>AF116</f>
        <v>10004910.000000002</v>
      </c>
      <c r="AG115" s="114">
        <f t="shared" si="9"/>
        <v>59.44952602133263</v>
      </c>
    </row>
    <row r="116" spans="1:33" ht="51.75">
      <c r="A116" s="109" t="s">
        <v>137</v>
      </c>
      <c r="B116" s="104" t="s">
        <v>73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6">
        <f>AC116+AD116</f>
        <v>16829251.08</v>
      </c>
      <c r="AC116" s="106">
        <f>829251.08+16000000</f>
        <v>16829251.08</v>
      </c>
      <c r="AD116" s="77"/>
      <c r="AE116" s="57"/>
      <c r="AF116" s="106">
        <f>9923711.13-161797.09+242995.96</f>
        <v>10004910.000000002</v>
      </c>
      <c r="AG116" s="115">
        <f t="shared" si="9"/>
        <v>59.44952602133263</v>
      </c>
    </row>
    <row r="117" spans="1:33" ht="30">
      <c r="A117" s="99" t="s">
        <v>178</v>
      </c>
      <c r="B117" s="107" t="s">
        <v>136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8">
        <f>AC117</f>
        <v>25000000</v>
      </c>
      <c r="AC117" s="108">
        <f>AC118</f>
        <v>25000000</v>
      </c>
      <c r="AD117" s="108">
        <f>AD118</f>
        <v>0</v>
      </c>
      <c r="AE117" s="108">
        <f>AE118</f>
        <v>0</v>
      </c>
      <c r="AF117" s="108">
        <f>AF118</f>
        <v>9497141.4</v>
      </c>
      <c r="AG117" s="114">
        <f t="shared" si="9"/>
        <v>37.9885656</v>
      </c>
    </row>
    <row r="118" spans="1:33" ht="80.25" customHeight="1">
      <c r="A118" s="88" t="s">
        <v>179</v>
      </c>
      <c r="B118" s="110" t="s">
        <v>173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106">
        <f>AC118+AD118</f>
        <v>25000000</v>
      </c>
      <c r="AC118" s="57">
        <v>25000000</v>
      </c>
      <c r="AD118" s="57"/>
      <c r="AE118" s="57"/>
      <c r="AF118" s="57">
        <v>9497141.4</v>
      </c>
      <c r="AG118" s="115">
        <f t="shared" si="9"/>
        <v>37.9885656</v>
      </c>
    </row>
    <row r="119" spans="1:33" ht="20.25" customHeight="1">
      <c r="A119" s="174"/>
      <c r="B119" s="138" t="s">
        <v>171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75">
        <f>AC119+AD119</f>
        <v>170062527.54000002</v>
      </c>
      <c r="AC119" s="175">
        <f>AC117+AC115+AC104+AC102+AC51+AC49+AC10+AC112</f>
        <v>136920394.68</v>
      </c>
      <c r="AD119" s="175">
        <f>AD117+AD115+AD104+AD102+AD51+AD49+AD10+AD112</f>
        <v>33142132.86</v>
      </c>
      <c r="AE119" s="175">
        <f>AE117+AE115+AE104+AE102+AE51+AE49+AE10+AE112</f>
        <v>33142132.86</v>
      </c>
      <c r="AF119" s="175">
        <f>AF117+AF115+AF104+AF102+AF51+AF49+AF10+AF112</f>
        <v>106850103.73000002</v>
      </c>
      <c r="AG119" s="114">
        <f t="shared" si="9"/>
        <v>62.829892790384434</v>
      </c>
    </row>
    <row r="120" spans="14:30" ht="12.75">
      <c r="N120" s="8"/>
      <c r="P120" s="13"/>
      <c r="Q120" s="13"/>
      <c r="AD120" s="6"/>
    </row>
    <row r="121" spans="14:30" ht="12.75">
      <c r="N121" s="8"/>
      <c r="P121" s="12"/>
      <c r="Q121" s="12"/>
      <c r="AD121" s="78"/>
    </row>
    <row r="122" spans="1:32" s="4" customFormat="1" ht="18">
      <c r="A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6"/>
      <c r="O122" s="5"/>
      <c r="P122" s="17"/>
      <c r="Q122" s="17"/>
      <c r="R122" s="17"/>
      <c r="S122" s="17"/>
      <c r="T122" s="17"/>
      <c r="U122" s="17"/>
      <c r="V122" s="17"/>
      <c r="W122" s="5"/>
      <c r="X122" s="5"/>
      <c r="Y122" s="5"/>
      <c r="Z122" s="5"/>
      <c r="AA122" s="5"/>
      <c r="AB122" s="5"/>
      <c r="AC122" s="5"/>
      <c r="AD122" s="79"/>
      <c r="AF122" s="4" t="s">
        <v>174</v>
      </c>
    </row>
    <row r="123" spans="14:30" ht="12.75">
      <c r="N123" s="8"/>
      <c r="P123" s="12"/>
      <c r="Q123" s="12"/>
      <c r="R123" s="12"/>
      <c r="S123" s="12"/>
      <c r="T123" s="12"/>
      <c r="U123" s="12"/>
      <c r="V123" s="12"/>
      <c r="AD123" s="78"/>
    </row>
    <row r="124" spans="2:30" ht="12.75">
      <c r="B124" s="32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1"/>
      <c r="O124" s="30"/>
      <c r="P124" s="33"/>
      <c r="Q124" s="33"/>
      <c r="R124" s="33"/>
      <c r="S124" s="33"/>
      <c r="T124" s="33"/>
      <c r="U124" s="33"/>
      <c r="V124" s="33"/>
      <c r="W124" s="30"/>
      <c r="X124" s="30"/>
      <c r="Y124" s="30"/>
      <c r="Z124" s="30"/>
      <c r="AA124" s="30"/>
      <c r="AB124" s="32"/>
      <c r="AC124" s="32"/>
      <c r="AD124" s="78"/>
    </row>
    <row r="125" spans="2:30" ht="12.75">
      <c r="B125" s="34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9"/>
    </row>
    <row r="130" spans="2:30" ht="12.75">
      <c r="B130" s="32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8"/>
    </row>
    <row r="132" spans="2:30" ht="15">
      <c r="B132" s="35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6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9"/>
    </row>
    <row r="134" ht="12.75">
      <c r="AD134" s="33"/>
    </row>
    <row r="135" ht="12.75">
      <c r="AD135" s="79"/>
    </row>
    <row r="136" ht="12.75">
      <c r="AD136" s="33"/>
    </row>
    <row r="137" ht="12.75">
      <c r="AD137" s="33"/>
    </row>
    <row r="138" ht="12.75">
      <c r="AD138" s="80"/>
    </row>
    <row r="139" ht="12.75">
      <c r="AD139" s="80"/>
    </row>
    <row r="140" ht="12.75">
      <c r="AD140" s="33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5">
      <c r="AD145" s="81"/>
    </row>
    <row r="146" ht="12.75">
      <c r="AD146" s="82"/>
    </row>
    <row r="147" ht="15">
      <c r="AD147" s="81"/>
    </row>
    <row r="148" ht="12.75">
      <c r="AD148" s="33"/>
    </row>
    <row r="149" ht="12.75">
      <c r="AD149" s="33"/>
    </row>
    <row r="150" ht="12.75">
      <c r="AD150" s="33"/>
    </row>
    <row r="151" ht="15">
      <c r="AD151" s="81"/>
    </row>
    <row r="152" ht="12.75">
      <c r="AD152" s="82"/>
    </row>
    <row r="153" ht="12.75">
      <c r="AD153" s="33"/>
    </row>
    <row r="156" ht="18">
      <c r="AD156" s="4"/>
    </row>
  </sheetData>
  <sheetProtection/>
  <mergeCells count="11">
    <mergeCell ref="AG5:AG6"/>
    <mergeCell ref="A9:AG9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2019-11-28T12:56:03Z</cp:lastPrinted>
  <dcterms:created xsi:type="dcterms:W3CDTF">2014-01-17T10:52:16Z</dcterms:created>
  <dcterms:modified xsi:type="dcterms:W3CDTF">2019-12-02T13:41:20Z</dcterms:modified>
  <cp:category/>
  <cp:version/>
  <cp:contentType/>
  <cp:contentStatus/>
</cp:coreProperties>
</file>